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1 " sheetId="1" state="visible" r:id="rId2"/>
    <sheet name="2" sheetId="2" state="visible" r:id="rId3"/>
    <sheet name="3" sheetId="3" state="visible" r:id="rId4"/>
  </sheets>
  <externalReferences>
    <externalReference r:id="rId1"/>
  </externalReferences>
  <calcPr/>
</workbook>
</file>

<file path=xl/sharedStrings.xml><?xml version="1.0" encoding="utf-8"?>
<sst xmlns="http://schemas.openxmlformats.org/spreadsheetml/2006/main" count="97" uniqueCount="97">
  <si>
    <t xml:space="preserve">Приложение 11 </t>
  </si>
  <si>
    <t xml:space="preserve">к решению сессии Совета депутатов Искитимского района Новосибирской области</t>
  </si>
  <si>
    <t xml:space="preserve">"О бюджете Искитимского района Новосибирской области на 2025 год</t>
  </si>
  <si>
    <t xml:space="preserve">и плановый период 2026 и 2027 годов"</t>
  </si>
  <si>
    <t xml:space="preserve">Таблица 1</t>
  </si>
  <si>
    <t xml:space="preserve">Распределение иных межбюджетных трансфертов на реализацию мероприятий по обеспечению сбалансированности местных бюджетов в рамках государственной программы Новосибирской области «Управление финансами в Новосибирской области» на 2025 год</t>
  </si>
  <si>
    <t xml:space="preserve">тыс. рублей</t>
  </si>
  <si>
    <t xml:space="preserve">Наименование муниципальных образований</t>
  </si>
  <si>
    <t>Сумма</t>
  </si>
  <si>
    <t xml:space="preserve">Искитимский район</t>
  </si>
  <si>
    <t xml:space="preserve">р.п. Линево</t>
  </si>
  <si>
    <t xml:space="preserve">500-деп обл Лотфуллина обустр детских площ, 100-деп обл Лотфуллина приобр оргтехн в МБУК "Линевский ДК" , 1429,415-зп культ 1 полуг, 727,2463-зп культ 3кв, 708,8562 зп культ 4 кв</t>
  </si>
  <si>
    <t>Бурмистровский</t>
  </si>
  <si>
    <t xml:space="preserve">2319,4-сбал, 459,8-деп обл рем пам воинам ВОВ, 325,1711-зп культ 1 полуг, 150,0467-зп культ 3 кв, 94,8764 зп культ 4 кв</t>
  </si>
  <si>
    <t>Быстровский</t>
  </si>
  <si>
    <t xml:space="preserve">4748,9-сбал, 259,8 и 240,2-деп обл ремонт пам в с.Тула, деп обл обустройство спортивной площадки, 939,7- деп обл Пак обустр спорт площ, 1066,6278-зп культ 1 полуг, 523,283-зп культ 3 кв, 516,6086 зп культ 4 кв</t>
  </si>
  <si>
    <t>Верх-Коенский</t>
  </si>
  <si>
    <t xml:space="preserve">4822,5-сбал, 400,0 - ремонт памятника воинам, погиб. В ВОВ в д.Михайловка, 769,042-зп культ 1 полуг, 384,5211-зп культ 3 кв, 374,49 зп культ 4 кв</t>
  </si>
  <si>
    <t>Гилевский</t>
  </si>
  <si>
    <t xml:space="preserve">3120,4-сбал, 16,2 и 86,5-деп приобр элект конвекторов в ДК с.Новолокти, 389,5-деп обл приобр (пошив) одежды для сцены в ДК с.Новолокти, 401,2393-зп культ 1 полуг, 200,6197-зп культ 3 кв, 200,6196 зп культ 4 кв</t>
  </si>
  <si>
    <t>Гусельниковский</t>
  </si>
  <si>
    <t xml:space="preserve">8809,9-сбал, 1212,913-зп культ 1 полуг, 543,688-зп культ 3 кв, 483,6608 зп культ 3 кв</t>
  </si>
  <si>
    <t>Евсинский</t>
  </si>
  <si>
    <t xml:space="preserve">300-деп обл Лотфуллина обустр детской площ, 508,0-деп обл Кива обустройство детской площ, 1288,1454-зп культ 1 полуг, 661,6269-зп культ 3 кв, 1000-депут Красовская обустр детск площ, 715,1255 зп культ 4 кв</t>
  </si>
  <si>
    <t>Легостаевский</t>
  </si>
  <si>
    <t xml:space="preserve">4619,4-сбал, 877,711-зп культ 1 полуг, 368,6386-зп культ 3 кв, 296,7501 зп культ 4 кв</t>
  </si>
  <si>
    <t>Листвянский</t>
  </si>
  <si>
    <t xml:space="preserve">650,0-деп обл Кива обустр детской площ, 384,521-зп культ 1 полуг, 192,2605-зп культ 3 кв, 192,2129 зп культ 4 кв</t>
  </si>
  <si>
    <t>Мичуринский</t>
  </si>
  <si>
    <t xml:space="preserve">638,6392-зп культ 1 полуг, 326,843-зп культ 3 кв, 335,2019 зп культ 4 кв</t>
  </si>
  <si>
    <t>Морозовский</t>
  </si>
  <si>
    <t xml:space="preserve">638,8-сбал, 334,7507-зп культ 1 полуг, 167,3754-зп культ 3 кв, 177,3467 зп культ 4 кв</t>
  </si>
  <si>
    <t>Преображенский</t>
  </si>
  <si>
    <t xml:space="preserve">1770,4-сбал, 400-деп обл рем пам, 409,5985-зп культ 1 полуг, 179,7217-зп культ 3 кв, 127,8878 зп куль 4 кв</t>
  </si>
  <si>
    <t>Промышленный</t>
  </si>
  <si>
    <t xml:space="preserve">400-содержание парка, 543,345-зп культ 1 полуг, 271,6723-зп культ 3 кв, 271,6725 зп культ 4 кв</t>
  </si>
  <si>
    <t>Совхозный</t>
  </si>
  <si>
    <t xml:space="preserve">14846,8-сбал, 400-деп обл приобр спорт формы в спрткомплекс, 1295,6686-зп культ 1 полуг, 647,8343-зп культ 3 кв, 647,8344 зп культ 4 кв, 530,0-деп Шимкив на ремонт клуба в п.Маяк</t>
  </si>
  <si>
    <t>Степной</t>
  </si>
  <si>
    <t xml:space="preserve">4273,9-сбал, 500-деп обл обустр детск спорт площ, 612,5227-зп культ 1 полуг, 313,7398-зп культ 3 кв, 538,261 зп культ 4 кв</t>
  </si>
  <si>
    <t>Тальменский</t>
  </si>
  <si>
    <t xml:space="preserve">5711,7-сбал, 1133,5011-зп культ 1 прлуг, 550,4501-зп культ 3 кв, 589,7713 зп культ 4 кв</t>
  </si>
  <si>
    <t>Улыбинский</t>
  </si>
  <si>
    <t xml:space="preserve">8474,1-сбал, 400-деп обл рем ул осв, 585,1406-зп культ 1 полуг, 292,5704-зп культ 3 кв, 294,2422 зп культ 4 кв</t>
  </si>
  <si>
    <t>Усть-Чемский</t>
  </si>
  <si>
    <t xml:space="preserve">96-деп обл Пак приобретение музыкальных инструментов, 473,128-зп культ 1 полуг, 232,8025-зп культ 3 кв, 241,9974 зп культ 4 кв</t>
  </si>
  <si>
    <t>Чернореченский</t>
  </si>
  <si>
    <t xml:space="preserve">360,0-деп обл Кива замена дверей в клубе с.Ст.Искитим, 1082,5102-зп культ 1 полуг, 541,2552-зп култ 3 кв, 300-депут Красовская замена 3-х дверей в танцевальном зале ДК с.Ст.Искититм, 499,4593 зп культ 4 кв</t>
  </si>
  <si>
    <t>Шибковский</t>
  </si>
  <si>
    <t xml:space="preserve">500-деп обл рем пам воинам ВОВ, 468,1126-зп культ 1 полуг, 236,564-зп культ 3 кв, 238,2358 зп культ 4 кв</t>
  </si>
  <si>
    <t xml:space="preserve">Таблица 2</t>
  </si>
  <si>
    <t xml:space="preserve">приложения 11 </t>
  </si>
  <si>
    <t xml:space="preserve">Распределение иных межбюджетных трансфертов общего характера на 2025 - 2026 годы</t>
  </si>
  <si>
    <t xml:space="preserve">2025 год</t>
  </si>
  <si>
    <t xml:space="preserve">2026 год</t>
  </si>
  <si>
    <t xml:space="preserve">4,896-газета, 75-зп ВУС, 13-мин пол, 50-благоустр.спорт.скейт площадки в сквере "Молодежный", 130-благоустр.спорт.скейт площадки в сквере "Молодежный", 250-устан.ост.павильона по ул.Листвянская р.п. Линево, 250-приобр.оборуд. для пост.спек.,хранение реквиз.,печати афиш МБУК "Линевский Дом культуры", 90-аккумулят.батареи для многод.семей и соц.нез.граждан, 15,0-зп ВУС</t>
  </si>
  <si>
    <t xml:space="preserve">36-АДПИ, 4,896-газета, 75-зп ВУС, 30-минер пол, 50-деп рай на приобр конц костюмов, 30-провед меропр</t>
  </si>
  <si>
    <t xml:space="preserve">83,5-АДПИ, 700-софин ИБ, 1815-псд на реконструкцию ДК в с.Завьялово, 4,896-газета, 75-зп ВУС, 500-минер пол, 210-спецодежда, 142,4-деп рай приобр оборуд для ДК с.Завьялово, 846,8-спас.посты и опл.матросов, 48,3-деп рай приобр муз оборуд в СК п.Тула, 50-пров меропр</t>
  </si>
  <si>
    <t xml:space="preserve">14,7-АДПИ, 4,896-газета, 75-зп ВУС, 200-мин пол, 510,051-тек рем ДК с Верх-Коен, 25-деп рай изг инф стендов, 25-деп рай приобр матер на рем памятн, 50-деп рай приобр спортинвентаря, 20-провед меропр</t>
  </si>
  <si>
    <t xml:space="preserve">33,4-АДПИ, 4,896-газета, 75-зп ВУС, 100-мин пол, 18-спецодежда, 667-кресла в зрит зал ДК с.Новолокти, 100-приобр ист беспер пит, 30-провед меропр</t>
  </si>
  <si>
    <t xml:space="preserve">52,4-АДПИ, 120,76-софин ИБ, 4,896-газета, 75-зп ВУС, 200-мин пол, 2386,21-ремонт памятника воинам ВОВ, 170-доп.освещение с.Гусельноково, 50-запчасти к пож машине и ГСМ, 30-пров меропр</t>
  </si>
  <si>
    <t xml:space="preserve">4,896-газета, 75-зп ВУС, 140-мин пол, 192-спецодежда, 80-провед меропр</t>
  </si>
  <si>
    <t xml:space="preserve">26,4-АДПИ, 77,01839-софин ИБ, 4,896-газета, 75-зп ВУС, 200-мин пол, 81-спецодежда, 1193,45967 снос нежилого здания, 356-два остан павильона, 50,89-деп рай приобр оборуд для МКУК, 250-обустр конт площ, 132,72-изг и уст информ стендов, 691,16978-ремонт муниц квартиры для прож медраб, 30-провед меропр, 457,01-уст огражд,наружн облицовка веранды с утеплением для заверш рем работ мун кварт по адр: с.Новососедово, ул.Цветочная, д.19 кв.2</t>
  </si>
  <si>
    <t xml:space="preserve">128,2-АДПИ, 4,896-газета, 75-зп ВУС, 65-спецодежда,150-снегоуборочник бензин.для очист.общест.террит.п. Листвянский, 135-деп рай приобр спорт формы команде п.Листвянский для участия в соревнованиях, 30-провед меропр</t>
  </si>
  <si>
    <t xml:space="preserve">25,2-АДПИ, 410,8122-софин ИБ, 4,896-газета, 75-зп ВУС, 87-спецодежда, 50-деп рай приобр и монтаж камер видеонаблюдения, 125-деп рай приобр и монтаж камер видеонаблюд, 20-провед меропр</t>
  </si>
  <si>
    <t xml:space="preserve">36,2-АДПИ, 4,896-газета, 75-зп ВУС,423,4-спас.посты и опл.матросов, 125-деп рай приобр детск обуви и вокальных микроф для МКУК "Юность", 100-деп рай приобр сидений для тетской площадки в д.Нижний Коен, 20-провед меропр, минус 15,0 зп ВУС</t>
  </si>
  <si>
    <t xml:space="preserve">6,6-АДПИ, 4,896-газета, 75-зп ВУС, 150-мин пол, 150-пров.мероприятий, посвящ.80-ВОВ и 90-Искит.района, 30-провед меропр</t>
  </si>
  <si>
    <t xml:space="preserve">17,92-АДПИ, 4,896-газета, 75-зп ВУС, 250- деп рай благоустройство территории парковой зоны п.Керамкомбинат на ул.Школьная, 45-мин пол, 53-спецодежда, 30-провед меропр</t>
  </si>
  <si>
    <t xml:space="preserve">53,4-АДПИ, 750-софин ИБ, 4,896-газета, 75-зп ВУС, 50-деп рай приобр подарков и сувениров на меропр, 360-мин пол, 1954,37424-ремонт кровли в ДК, 1592,35-переустр детск площ, 3000,0-ремонт внутр помещ клуба п.Маяк, 241,54-псд и экс по благоустр ул.Школьная, 700-приобр светодиодн экрана в ДК, 423,4-спас.посты и опл.матросов, 300-замена ламп освещ, 250-деп рай приобр аппаратуры для СК на ст.Сельская, 40,75248-софин по укреплению МТБ культуры, минус 116,67191 экономия по переустр детск площ, 1300-ремонт внутр помещ клуб п.Маяк, 30-провед меропр, 1131,46251-ремонт помещения клуба п.Маяк и приобретение кресел</t>
  </si>
  <si>
    <t xml:space="preserve">29,8-АДПИ, 4,896-газета, 75-зп ВУС, 125 и 200-деп рай ул освещ, 204-мин пол, 264-выборы, 1155,57576-рек сист отопл в здании МКУК, 80-псд по демонтажу объекта, 878,89417-кред зад-ть за теплоэнергию, 450-провед экспертизы проектн докум по кап рем фасада МКУК, 30-провед меропр</t>
  </si>
  <si>
    <t xml:space="preserve">39,0664-АДПИ, 4,896-газета, 75-зп ВУС, 250-деп рай уличное освещение территории с.Тальменка , 315-мин пол, 199-спецодежда, 80-доп.освещение по ул.Центральная с.Елбаши, 423,4-орган спас поста и оплата услуг матросам спасателям, 587,10118-благ терртории зем участка под стр-во ФАПа, 40-провед меропр</t>
  </si>
  <si>
    <t xml:space="preserve">30,9-АДПИ, 4,896-газета, 75-зп ВУС, 395-мин пол, 62-спецодежда, 3500-заверш рем работ в МКУК, 100-деп содерждорог в п.Первомайский, 10500-благоустройство городской среды, 416,7-приоб.периф.устр и оборуд. для созд.откр.простр,51,651-мебель для созд.отк.прост., 1,649-изг.табл.для согзд.отк.простр., 30-наст.игры для согз.откр.прост., 250-строит контр на объекте бл-ва, минус 8000,0 по бл-ву, 4000,0-стр тепл сети до спорткомплекса им.Сивири, 30-провед меропр</t>
  </si>
  <si>
    <t xml:space="preserve">17-АДПИ, 4,896-газета, 75-зп ВУС, 30-провед меропр</t>
  </si>
  <si>
    <t xml:space="preserve">59,2-АДПИ, 4,896-газета, 75-зп ВУС, 125,0-деп рай ул освещ с.Ст.Искитим, 125-деп рай уличн освещ с.Койниха, 180-деп рай пров меропр, 50-деп рай ул освещ в п.Александровский, 147-мин пол, 56-спецодежда, 1954,29-расчистка участка реки Черная, 85,114-молодь. 423,4-спас.посты и опл.матросов, 378,72349-обуст конт площ накопл крупногабар мусора в п.Рощинский, 40-провед меропр, 878,05385-спил деревьев и планир территории общ польз в п.Чернореченский ул.Кооперативная,  ремонт канализации в нежилом помещении в п.Чернореченский ул.Тепличная и ремонт входн группы</t>
  </si>
  <si>
    <t xml:space="preserve">18,843-АДПИ, 4,896-газета, 75-зп ВУС, 250-деп рай тек сод памятн на территории СК д.Евсино, 400-мин пол, 400-рем пам в Шибково и д.Таскаево, 600-устр канализации и част ремонт в здании адм, 30-провед меропр, 1000,0-ремонт здания, в котором разм адм сельсовета</t>
  </si>
  <si>
    <t xml:space="preserve">Таблица 3</t>
  </si>
  <si>
    <t xml:space="preserve">Распределение иных межбюджетных трансфертов  для обеспечения устойчивого функционирования автомобильных дорог  местного значения и искусственных сооружений на них, а также улично-дорожной сети в муниципальных образованиях Искитимского района на 2025 год</t>
  </si>
  <si>
    <t xml:space="preserve">871,5-содержание а/д</t>
  </si>
  <si>
    <t xml:space="preserve">392,7-содержание а/д</t>
  </si>
  <si>
    <t xml:space="preserve">847,2-содержание а/д, 2902,34442-содерж авт дор по ул.Учительская с.Завьялово</t>
  </si>
  <si>
    <t xml:space="preserve">507,9-содержание а/д, 800-восст дор покр по ул.Школьная д.Китерня, 800-восст дор покр по ул.Луговая в д.Китерня, 300-содерж дорог в зимний период</t>
  </si>
  <si>
    <t xml:space="preserve">462,3-содержание а/д</t>
  </si>
  <si>
    <t xml:space="preserve">596,1-содержание а/д</t>
  </si>
  <si>
    <t xml:space="preserve">1216,2-содержание а/д</t>
  </si>
  <si>
    <t xml:space="preserve">804,6-содержание а/д</t>
  </si>
  <si>
    <t xml:space="preserve">780,6-содержание а/д</t>
  </si>
  <si>
    <t xml:space="preserve">545,4-содержание а/д, 1284,68628-ремонт авт дор до ул.Лазурная в п.Мичуринском</t>
  </si>
  <si>
    <t xml:space="preserve">646,8-содержание а/д</t>
  </si>
  <si>
    <t xml:space="preserve">398,1-содержание а/д</t>
  </si>
  <si>
    <t xml:space="preserve">192,6-содержание а/д, 2419,21-сод авт дор к Металл Профилю</t>
  </si>
  <si>
    <t xml:space="preserve">1191,9-содержание а/д, 3276,26772-устр пеш трот ул.Школьная, 349,25033-сод авт дор пер.Лазурный, 4000,0-содерж авт дорог по ул.Советская и ул.Школная в с.Лебедевка, 2588,46142-на выполн работ по ремонту ул-дор сети по ул.Школьной с.Сосновка</t>
  </si>
  <si>
    <t xml:space="preserve">553,2-содержание а/д</t>
  </si>
  <si>
    <t xml:space="preserve">831,3-содержание а/д, 300,0-развитие автомобильныхдорог местного значения</t>
  </si>
  <si>
    <t xml:space="preserve">558,6-содержание а/д</t>
  </si>
  <si>
    <t xml:space="preserve">654,9-содержание а/д</t>
  </si>
  <si>
    <t xml:space="preserve">943,5-содержание а/д, 1172,08118-сод авт дор по ул.Тепличная, 2349,57841-сод авт дор по ул.Школьная</t>
  </si>
  <si>
    <t xml:space="preserve">909-содержание а/д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</si>
</sst>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_-* #,##0_р_._-;\-* #,##0_р_._-;_-* &quot;-&quot;_р_._-;_-@_-"/>
    <numFmt numFmtId="161" formatCode="0.00000"/>
    <numFmt numFmtId="162" formatCode="0.0"/>
    <numFmt numFmtId="163" formatCode="#,##0.0"/>
    <numFmt numFmtId="164" formatCode="_-* #,##0.00_р_._-;\-* #,##0.00_р_._-;_-* &quot;-&quot;??_р_._-;_-@_-"/>
  </numFmts>
  <fonts count="9">
    <font>
      <sz val="10.000000"/>
      <color theme="1"/>
      <name val="Arial Cyr"/>
    </font>
    <font>
      <sz val="10.000000"/>
      <name val="Arial"/>
    </font>
    <font>
      <sz val="10.000000"/>
      <name val="Cambria"/>
    </font>
    <font>
      <u/>
      <sz val="10.000000"/>
      <color theme="11"/>
      <name val="Arial Cyr"/>
    </font>
    <font>
      <b/>
      <sz val="10.000000"/>
      <name val="Times New Roman"/>
    </font>
    <font>
      <sz val="10.000000"/>
      <name val="Times New Roman"/>
    </font>
    <font>
      <b/>
      <sz val="12.000000"/>
      <name val="Times New Roman"/>
    </font>
    <font>
      <sz val="12.000000"/>
      <name val="Times New Roman"/>
    </font>
    <font>
      <b/>
      <sz val="10.000000"/>
      <name val="Arial Cyr"/>
    </font>
  </fonts>
  <fills count="2">
    <fill>
      <patternFill patternType="none"/>
    </fill>
    <fill>
      <patternFill patternType="gray125"/>
    </fill>
  </fills>
  <borders count="8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</borders>
  <cellStyleXfs count="5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0" fillId="0" borderId="0" numFmtId="160" applyNumberFormat="1" applyFont="1" applyFill="1" applyBorder="1"/>
  </cellStyleXfs>
  <cellXfs count="33">
    <xf fontId="0" fillId="0" borderId="0" numFmtId="0" xfId="0"/>
    <xf fontId="4" fillId="0" borderId="0" numFmtId="0" xfId="2" applyFont="1" applyAlignment="1" applyProtection="1">
      <alignment horizontal="right"/>
    </xf>
    <xf fontId="5" fillId="0" borderId="0" numFmtId="0" xfId="3" applyFont="1" applyAlignment="1">
      <alignment horizontal="right"/>
    </xf>
    <xf fontId="5" fillId="0" borderId="0" numFmtId="0" xfId="0" applyFont="1" applyAlignment="1">
      <alignment horizontal="right"/>
    </xf>
    <xf fontId="6" fillId="0" borderId="0" numFmtId="0" xfId="0" applyFont="1" applyAlignment="1">
      <alignment horizontal="center" wrapText="1"/>
    </xf>
    <xf fontId="7" fillId="0" borderId="0" numFmtId="0" xfId="2" applyFont="1" applyProtection="1"/>
    <xf fontId="7" fillId="0" borderId="1" numFmtId="0" xfId="2" applyFont="1" applyBorder="1" applyAlignment="1" applyProtection="1">
      <alignment horizontal="right"/>
    </xf>
    <xf fontId="7" fillId="0" borderId="2" numFmtId="0" xfId="2" applyFont="1" applyBorder="1" applyAlignment="1" applyProtection="1">
      <alignment horizontal="center" vertical="center" wrapText="1"/>
    </xf>
    <xf fontId="0" fillId="0" borderId="0" numFmtId="161" xfId="0" applyNumberFormat="1" applyAlignment="1">
      <alignment horizontal="left"/>
    </xf>
    <xf fontId="7" fillId="0" borderId="3" numFmtId="0" xfId="2" applyFont="1" applyBorder="1" applyAlignment="1" applyProtection="1">
      <alignment horizontal="center" vertical="center" wrapText="1"/>
    </xf>
    <xf fontId="6" fillId="0" borderId="2" numFmtId="0" xfId="2" applyFont="1" applyBorder="1" applyAlignment="1" applyProtection="1">
      <alignment horizontal="left" vertical="center" wrapText="1"/>
    </xf>
    <xf fontId="6" fillId="0" borderId="4" numFmtId="162" xfId="2" applyNumberFormat="1" applyFont="1" applyBorder="1" applyAlignment="1" applyProtection="1">
      <alignment horizontal="center" vertical="center" wrapText="1"/>
    </xf>
    <xf fontId="0" fillId="0" borderId="0" numFmtId="162" xfId="0" applyNumberFormat="1"/>
    <xf fontId="7" fillId="0" borderId="4" numFmtId="0" xfId="0" applyFont="1" applyBorder="1"/>
    <xf fontId="7" fillId="0" borderId="4" numFmtId="162" xfId="0" applyNumberFormat="1" applyFont="1" applyBorder="1" applyAlignment="1">
      <alignment horizontal="center"/>
    </xf>
    <xf fontId="0" fillId="0" borderId="0" numFmtId="0" xfId="0"/>
    <xf fontId="0" fillId="0" borderId="0" numFmtId="163" xfId="0" applyNumberFormat="1"/>
    <xf fontId="7" fillId="0" borderId="0" numFmtId="162" xfId="0" applyNumberFormat="1" applyFont="1" applyAlignment="1">
      <alignment horizontal="left"/>
    </xf>
    <xf fontId="7" fillId="0" borderId="5" numFmtId="0" xfId="0" applyFont="1" applyBorder="1"/>
    <xf fontId="7" fillId="0" borderId="4" numFmtId="0" xfId="0" applyFont="1" applyBorder="1" applyAlignment="1">
      <alignment horizontal="left"/>
    </xf>
    <xf fontId="7" fillId="0" borderId="0" numFmtId="0" xfId="0" applyFont="1"/>
    <xf fontId="4" fillId="0" borderId="0" numFmtId="0" xfId="3" applyFont="1" applyAlignment="1">
      <alignment horizontal="right"/>
    </xf>
    <xf fontId="7" fillId="0" borderId="0" numFmtId="0" xfId="2" applyFont="1" applyAlignment="1" applyProtection="1">
      <alignment horizontal="right"/>
    </xf>
    <xf fontId="0" fillId="0" borderId="0" numFmtId="161" xfId="0" applyNumberFormat="1"/>
    <xf fontId="7" fillId="0" borderId="6" numFmtId="0" xfId="2" applyFont="1" applyBorder="1" applyAlignment="1" applyProtection="1">
      <alignment horizontal="center" vertical="center" wrapText="1"/>
    </xf>
    <xf fontId="7" fillId="0" borderId="7" numFmtId="0" xfId="2" applyFont="1" applyBorder="1" applyAlignment="1" applyProtection="1">
      <alignment horizontal="center" vertical="center" wrapText="1"/>
    </xf>
    <xf fontId="7" fillId="0" borderId="4" numFmtId="0" xfId="2" applyFont="1" applyBorder="1" applyAlignment="1" applyProtection="1">
      <alignment horizontal="center" vertical="center" wrapText="1"/>
    </xf>
    <xf fontId="0" fillId="0" borderId="0" numFmtId="0" xfId="0" applyAlignment="1">
      <alignment horizontal="left"/>
    </xf>
    <xf fontId="0" fillId="0" borderId="0" numFmtId="163" xfId="0" applyNumberFormat="1" applyAlignment="1">
      <alignment horizontal="left"/>
    </xf>
    <xf fontId="6" fillId="0" borderId="0" numFmtId="0" xfId="0" applyFont="1" applyAlignment="1">
      <alignment horizontal="center" vertical="center" wrapText="1"/>
    </xf>
    <xf fontId="7" fillId="0" borderId="0" numFmtId="162" xfId="2" applyNumberFormat="1" applyFont="1" applyProtection="1"/>
    <xf fontId="6" fillId="0" borderId="2" numFmtId="162" xfId="2" applyNumberFormat="1" applyFont="1" applyBorder="1" applyAlignment="1" applyProtection="1">
      <alignment horizontal="center" vertical="center" wrapText="1"/>
    </xf>
    <xf fontId="8" fillId="0" borderId="0" numFmtId="164" xfId="4" applyNumberFormat="1" applyFont="1"/>
  </cellXfs>
  <cellStyles count="5">
    <cellStyle name="Обычный" xfId="0" builtinId="0"/>
    <cellStyle name="Обычный 2" xfId="1"/>
    <cellStyle name="Обычный_Лист1_1" xfId="2"/>
    <cellStyle name="Открывавшаяся гиперссылка" xfId="3" builtinId="9"/>
    <cellStyle name="Финансовый [0]" xfId="4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7" Type="http://schemas.openxmlformats.org/officeDocument/2006/relationships/styles" Target="styles.xml"/><Relationship  Id="rId6" Type="http://schemas.openxmlformats.org/officeDocument/2006/relationships/sharedStrings" Target="sharedStrings.xml"/><Relationship  Id="rId5" Type="http://schemas.openxmlformats.org/officeDocument/2006/relationships/theme" Target="theme/theme1.xml"/><Relationship  Id="rId4" Type="http://schemas.openxmlformats.org/officeDocument/2006/relationships/worksheet" Target="worksheets/sheet3.xml"/><Relationship  Id="rId3" Type="http://schemas.openxmlformats.org/officeDocument/2006/relationships/worksheet" Target="worksheets/sheet2.xml"/><Relationship  Id="rId2" Type="http://schemas.openxmlformats.org/officeDocument/2006/relationships/worksheet" Target="worksheets/sheet1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/Users/volkova_en/Documents/2025%20&#1075;&#1086;&#1076;/&#1056;&#1077;&#1096;&#1077;&#1085;&#1080;&#1103;%20&#1089;&#1077;&#1089;&#1089;&#1080;&#1081;%202025/2&#1056;&#1077;&#1096;&#1077;&#1085;&#1080;&#1077;%20&#1092;&#1077;&#1074;&#1088;&#1072;&#1083;&#1100;/&#1056;&#1077;&#1096;&#1077;&#1085;&#1080;&#1077;%20&#1092;&#1077;&#1074;&#1088;&#1072;&#1083;&#1100;%20&#1074;%20&#1087;&#1077;&#1095;&#1072;&#1090;&#1100;/&#1055;&#1088;&#1080;&#1083;&#1086;&#1078;&#1077;&#1085;&#1080;&#1077;%2011%20(&#1090;&#1072;&#1073;&#1083;%201,2,3,4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"/>
      <sheetName val="3"/>
      <sheetName val="4"/>
    </sheetNames>
    <sheetDataSet>
      <sheetData sheetId="0">
        <row r="11">
          <cell r="B11">
            <v>68208.2</v>
          </cell>
        </row>
      </sheetData>
      <sheetData sheetId="1">
        <row r="11">
          <cell r="C11">
            <v>10500</v>
          </cell>
        </row>
      </sheetData>
      <sheetData sheetId="2">
        <row r="11">
          <cell r="B11">
            <v>25070.787639999999</v>
          </cell>
        </row>
      </sheetData>
      <sheetData sheetId="3" refreshError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93" workbookViewId="0">
      <selection activeCell="A11" activeCellId="0" sqref="A11"/>
    </sheetView>
  </sheetViews>
  <sheetFormatPr defaultRowHeight="12.75" customHeight="1"/>
  <cols>
    <col customWidth="1" min="1" max="1" width="59.25"/>
    <col customWidth="1" min="2" max="2" width="23.875"/>
    <col customWidth="1" hidden="1" min="3" max="3" width="144.375"/>
    <col customWidth="1" min="4" max="4" width="8.875"/>
    <col customWidth="1" min="5" max="17" width="9"/>
  </cols>
  <sheetData>
    <row r="1" ht="12.9">
      <c r="B1" s="1" t="s">
        <v>0</v>
      </c>
    </row>
    <row r="2" ht="13.6">
      <c r="A2" s="2" t="s">
        <v>1</v>
      </c>
      <c r="B2" s="2"/>
    </row>
    <row r="3" ht="13.6">
      <c r="A3" s="3" t="s">
        <v>2</v>
      </c>
      <c r="B3" s="3"/>
    </row>
    <row r="4" ht="13.6">
      <c r="A4" s="2" t="s">
        <v>3</v>
      </c>
      <c r="B4" s="2"/>
    </row>
    <row r="5" ht="13.6">
      <c r="B5" s="2"/>
    </row>
    <row r="6" ht="13.6">
      <c r="B6" s="2" t="s">
        <v>4</v>
      </c>
    </row>
    <row r="7" ht="72" customHeight="1">
      <c r="A7" s="4" t="s">
        <v>5</v>
      </c>
      <c r="B7" s="4"/>
    </row>
    <row r="8" ht="44.149999999999999" customHeight="1">
      <c r="A8" s="5"/>
      <c r="B8" s="6" t="s">
        <v>6</v>
      </c>
    </row>
    <row r="9" ht="31.75" customHeight="1">
      <c r="A9" s="7" t="s">
        <v>7</v>
      </c>
      <c r="B9" s="7" t="s">
        <v>8</v>
      </c>
      <c r="C9" s="8">
        <f>96206.3622999999+7545.11039999999+530</f>
        <v>104281.4726999999</v>
      </c>
    </row>
    <row r="10" ht="15.65" customHeight="1">
      <c r="A10" s="9"/>
      <c r="B10" s="9"/>
      <c r="C10" s="8" t="b">
        <f>B11=C9</f>
        <v>1</v>
      </c>
    </row>
    <row r="11" ht="15.65" customHeight="1">
      <c r="A11" s="10" t="s">
        <v>9</v>
      </c>
      <c r="B11" s="11">
        <f>SUM(B12:B31)</f>
        <v>104281.47269999981</v>
      </c>
      <c r="C11" s="12"/>
    </row>
    <row r="12" ht="15">
      <c r="A12" s="13" t="s">
        <v>10</v>
      </c>
      <c r="B12" s="14">
        <f>600+1429.415+727.2463+708.856199999999</f>
        <v>3465.517499999999</v>
      </c>
      <c r="C12" s="15" t="s">
        <v>11</v>
      </c>
      <c r="D12" s="16"/>
    </row>
    <row r="13" ht="15">
      <c r="A13" s="13" t="s">
        <v>12</v>
      </c>
      <c r="B13" s="14">
        <f>2319.4+459.8+325.1711+150.046699999999+94.8764</f>
        <v>3349.2941999999994</v>
      </c>
      <c r="C13" s="17" t="s">
        <v>13</v>
      </c>
    </row>
    <row r="14" ht="15">
      <c r="A14" s="13" t="s">
        <v>14</v>
      </c>
      <c r="B14" s="14">
        <f>4748.89999999999+259.8+240.199999999999+939.7+1066.6278+523.283+516.6086</f>
        <v>8295.1193999999887</v>
      </c>
      <c r="C14" s="17" t="s">
        <v>15</v>
      </c>
    </row>
    <row r="15" ht="15">
      <c r="A15" s="13" t="s">
        <v>16</v>
      </c>
      <c r="B15" s="14">
        <f>4822.5+400+769.042+384.521099999999+374.49</f>
        <v>6750.5530999999992</v>
      </c>
      <c r="C15" s="17" t="s">
        <v>17</v>
      </c>
      <c r="D15" s="16"/>
    </row>
    <row r="16" ht="15">
      <c r="A16" s="13" t="s">
        <v>18</v>
      </c>
      <c r="B16" s="14">
        <f>3120.4+16.1999999999999+389.5+86.5+401.2393+200.619699999999+200.619599999999</f>
        <v>4415.078599999998</v>
      </c>
      <c r="C16" s="17" t="s">
        <v>19</v>
      </c>
      <c r="D16" s="16"/>
    </row>
    <row r="17" ht="15">
      <c r="A17" s="13" t="s">
        <v>20</v>
      </c>
      <c r="B17" s="14">
        <f>8809.89999999999+1212.913+543.687999999999+483.660799999999</f>
        <v>11050.161799999989</v>
      </c>
      <c r="C17" s="17" t="s">
        <v>21</v>
      </c>
      <c r="D17" s="16"/>
    </row>
    <row r="18" ht="15">
      <c r="A18" s="13" t="s">
        <v>22</v>
      </c>
      <c r="B18" s="14">
        <f>300+508+1288.1454+661.626899999999+1000+715.125499999999</f>
        <v>4472.8977999999979</v>
      </c>
      <c r="C18" s="17" t="s">
        <v>23</v>
      </c>
      <c r="D18" s="16"/>
    </row>
    <row r="19" ht="15">
      <c r="A19" s="13" t="s">
        <v>24</v>
      </c>
      <c r="B19" s="14">
        <f>4619.39999999999+877.711+368.6386+296.750099999999</f>
        <v>6162.4996999999894</v>
      </c>
      <c r="C19" s="17" t="s">
        <v>25</v>
      </c>
      <c r="D19" s="16"/>
      <c r="F19" s="12"/>
    </row>
    <row r="20" ht="15">
      <c r="A20" s="18" t="s">
        <v>26</v>
      </c>
      <c r="B20" s="14">
        <f>650+384.521+192.2605+192.212899999999</f>
        <v>1418.9943999999991</v>
      </c>
      <c r="C20" s="17" t="s">
        <v>27</v>
      </c>
      <c r="D20" s="16"/>
    </row>
    <row r="21" ht="15">
      <c r="A21" s="13" t="s">
        <v>28</v>
      </c>
      <c r="B21" s="14">
        <f>638.639199999999+326.843+335.2019</f>
        <v>1300.684099999999</v>
      </c>
      <c r="C21" s="17" t="s">
        <v>29</v>
      </c>
      <c r="D21" s="16"/>
    </row>
    <row r="22" ht="15">
      <c r="A22" s="13" t="s">
        <v>30</v>
      </c>
      <c r="B22" s="14">
        <f>638.799999999999+334.750699999999+167.3754+177.3467</f>
        <v>1318.2727999999979</v>
      </c>
      <c r="C22" s="17" t="s">
        <v>31</v>
      </c>
      <c r="D22" s="16"/>
    </row>
    <row r="23" ht="15">
      <c r="A23" s="13" t="s">
        <v>32</v>
      </c>
      <c r="B23" s="14">
        <f>1770.4+400+409.5985+179.7217+127.8878</f>
        <v>2887.6080000000002</v>
      </c>
      <c r="C23" s="17" t="s">
        <v>33</v>
      </c>
      <c r="D23" s="16"/>
    </row>
    <row r="24" ht="15">
      <c r="A24" s="13" t="s">
        <v>34</v>
      </c>
      <c r="B24" s="14">
        <f>400+543.345+271.6723+271.6725</f>
        <v>1486.6898000000001</v>
      </c>
      <c r="C24" s="17" t="s">
        <v>35</v>
      </c>
      <c r="D24" s="16"/>
    </row>
    <row r="25" ht="15">
      <c r="A25" s="13" t="s">
        <v>36</v>
      </c>
      <c r="B25" s="14">
        <f>14846.7999999999+400+1295.6686+647.834299999999+647.834399999999+530</f>
        <v>18368.137299999897</v>
      </c>
      <c r="C25" s="17" t="s">
        <v>37</v>
      </c>
      <c r="D25" s="16"/>
    </row>
    <row r="26" ht="15">
      <c r="A26" s="13" t="s">
        <v>38</v>
      </c>
      <c r="B26" s="14">
        <f>4273.89999999999+500+612.522699999999+313.7398+538.260999999999</f>
        <v>6238.4234999999871</v>
      </c>
      <c r="C26" s="17" t="s">
        <v>39</v>
      </c>
      <c r="D26" s="16"/>
    </row>
    <row r="27" ht="15">
      <c r="A27" s="13" t="s">
        <v>40</v>
      </c>
      <c r="B27" s="14">
        <f>5711.69999999999+1133.5011+550.4501+589.7713</f>
        <v>7985.4224999999897</v>
      </c>
      <c r="C27" s="17" t="s">
        <v>41</v>
      </c>
      <c r="D27" s="16"/>
    </row>
    <row r="28" ht="15">
      <c r="A28" s="13" t="s">
        <v>42</v>
      </c>
      <c r="B28" s="14">
        <f>8474.1+400+585.140599999999+292.5704+294.2422</f>
        <v>10046.0532</v>
      </c>
      <c r="C28" s="17" t="s">
        <v>43</v>
      </c>
      <c r="D28" s="16"/>
    </row>
    <row r="29" ht="15">
      <c r="A29" s="13" t="s">
        <v>44</v>
      </c>
      <c r="B29" s="14">
        <f>96+473.127999999999+232.8025+241.9974</f>
        <v>1043.927899999999</v>
      </c>
      <c r="C29" s="17" t="s">
        <v>45</v>
      </c>
      <c r="D29" s="16"/>
    </row>
    <row r="30" ht="15">
      <c r="A30" s="13" t="s">
        <v>46</v>
      </c>
      <c r="B30" s="14">
        <f>360+1082.51019999999+541.255199999999+300+499.459299999999</f>
        <v>2783.2246999999879</v>
      </c>
      <c r="C30" s="17" t="s">
        <v>47</v>
      </c>
      <c r="D30" s="16"/>
    </row>
    <row r="31" ht="15">
      <c r="A31" s="19" t="s">
        <v>48</v>
      </c>
      <c r="B31" s="14">
        <f>500+468.112599999999+236.563999999999+238.2358</f>
        <v>1442.9123999999979</v>
      </c>
      <c r="C31" s="17" t="s">
        <v>49</v>
      </c>
      <c r="D31" s="16"/>
    </row>
    <row r="32" ht="12.9">
      <c r="C32" s="15"/>
      <c r="D32" s="16"/>
    </row>
    <row r="33" ht="15">
      <c r="A33" s="20"/>
      <c r="C33" s="15"/>
      <c r="D33" s="16"/>
    </row>
    <row r="34" ht="12.9">
      <c r="B34" s="16"/>
      <c r="D34" s="16"/>
    </row>
  </sheetData>
  <mergeCells count="6">
    <mergeCell ref="A2:B2"/>
    <mergeCell ref="A3:B3"/>
    <mergeCell ref="A4:B4"/>
    <mergeCell ref="A7:B7"/>
    <mergeCell ref="A9:A10"/>
    <mergeCell ref="B9:B10"/>
  </mergeCells>
  <printOptions headings="0" gridLines="0"/>
  <pageMargins left="0.94488199999999978" right="0.39370099999999991" top="0.9842519999999999" bottom="0.9842519999999999" header="0.51181100000000002" footer="0.51181100000000002"/>
  <pageSetup paperSize="9" scale="9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5" zoomScale="97" workbookViewId="0">
      <selection activeCell="D25" activeCellId="0" sqref="D25"/>
    </sheetView>
  </sheetViews>
  <sheetFormatPr defaultRowHeight="12.75" customHeight="1"/>
  <cols>
    <col customWidth="1" min="1" max="1" width="39"/>
    <col customWidth="1" min="2" max="2" width="18.75"/>
    <col customWidth="1" min="3" max="3" width="20.125"/>
    <col customWidth="1" hidden="1" min="4" max="4" width="48.875"/>
    <col customWidth="1" hidden="1" min="5" max="5" width="9"/>
    <col customWidth="1" min="6" max="6" width="17.125"/>
    <col customWidth="1" min="7" max="22" width="9"/>
  </cols>
  <sheetData>
    <row r="1" ht="12.9">
      <c r="C1" s="21" t="s">
        <v>50</v>
      </c>
    </row>
    <row r="2" ht="12.9">
      <c r="C2" s="1" t="s">
        <v>51</v>
      </c>
    </row>
    <row r="3" ht="13.6">
      <c r="A3" s="2" t="s">
        <v>1</v>
      </c>
      <c r="B3" s="2"/>
      <c r="C3" s="2"/>
    </row>
    <row r="4" ht="13.6">
      <c r="A4" s="3" t="s">
        <v>2</v>
      </c>
      <c r="B4" s="3"/>
      <c r="C4" s="3"/>
    </row>
    <row r="5" ht="13.6">
      <c r="C5" s="2" t="s">
        <v>3</v>
      </c>
    </row>
    <row r="6" ht="13.6">
      <c r="C6" s="2"/>
    </row>
    <row r="7" ht="32.600000000000001" customHeight="1">
      <c r="A7" s="4" t="s">
        <v>52</v>
      </c>
      <c r="B7" s="4"/>
      <c r="C7" s="4"/>
    </row>
    <row r="8" ht="16.300000000000001" customHeight="1">
      <c r="A8" s="5"/>
      <c r="B8" s="5"/>
      <c r="C8" s="22" t="s">
        <v>6</v>
      </c>
      <c r="D8" s="23">
        <f>51037.90576+1131.46251+457.009999999999+2710.07872+1000+15-15</f>
        <v>56336.456989999999</v>
      </c>
      <c r="E8" t="b">
        <f>+B11=D8</f>
        <v>0</v>
      </c>
    </row>
    <row r="9" ht="21.75" customHeight="1">
      <c r="A9" s="7" t="s">
        <v>7</v>
      </c>
      <c r="B9" s="24" t="s">
        <v>8</v>
      </c>
      <c r="C9" s="25"/>
      <c r="D9" s="23">
        <f>51037.90576-B11</f>
        <v>-3466.5263599999671</v>
      </c>
    </row>
    <row r="10" ht="22.75" customHeight="1">
      <c r="A10" s="9"/>
      <c r="B10" s="26" t="s">
        <v>53</v>
      </c>
      <c r="C10" s="26" t="s">
        <v>54</v>
      </c>
    </row>
    <row r="11" ht="15">
      <c r="A11" s="10" t="s">
        <v>9</v>
      </c>
      <c r="B11" s="11">
        <f>SUM(B12:B31)</f>
        <v>54504.432119999969</v>
      </c>
      <c r="C11" s="11">
        <f>SUM(C12:C31)</f>
        <v>10500</v>
      </c>
      <c r="D11" s="12"/>
    </row>
    <row r="12" ht="15">
      <c r="A12" s="13" t="s">
        <v>10</v>
      </c>
      <c r="B12" s="14">
        <f>4.89599999999999+75+13+50+130+250+250+90+15</f>
        <v>877.89599999999996</v>
      </c>
      <c r="C12" s="14"/>
      <c r="D12" s="16" t="s">
        <v>55</v>
      </c>
    </row>
    <row r="13" ht="18.350000000000001" customHeight="1">
      <c r="A13" s="13" t="s">
        <v>12</v>
      </c>
      <c r="B13" s="14">
        <f>36+4.89599999999999+75+30+50+30</f>
        <v>225.89599999999999</v>
      </c>
      <c r="C13" s="14"/>
      <c r="D13" s="27" t="s">
        <v>56</v>
      </c>
    </row>
    <row r="14" ht="15">
      <c r="A14" s="13" t="s">
        <v>14</v>
      </c>
      <c r="B14" s="14">
        <f>83.5+700+1815+4.89599999999999+75+500+210+142.4+846.799999999999+48.2999999999999+50</f>
        <v>4475.8959999999997</v>
      </c>
      <c r="C14" s="14"/>
      <c r="D14" s="27" t="s">
        <v>57</v>
      </c>
    </row>
    <row r="15" ht="18.350000000000001" customHeight="1">
      <c r="A15" s="13" t="s">
        <v>16</v>
      </c>
      <c r="B15" s="14">
        <f>14.6999999999999+4.89599999999999+75+200+510.050999999999+100+20</f>
        <v>924.64699999999891</v>
      </c>
      <c r="C15" s="14"/>
      <c r="D15" s="28" t="s">
        <v>58</v>
      </c>
    </row>
    <row r="16" ht="15">
      <c r="A16" s="13" t="s">
        <v>18</v>
      </c>
      <c r="B16" s="14">
        <f>33.3999999999999+4.89599999999999+75+100+18+667.6+100+30</f>
        <v>1028.896</v>
      </c>
      <c r="C16" s="14"/>
      <c r="D16" s="28" t="s">
        <v>59</v>
      </c>
    </row>
    <row r="17" ht="15">
      <c r="A17" s="13" t="s">
        <v>20</v>
      </c>
      <c r="B17" s="14">
        <f>52.3999999999999+120.76+4.89599999999999+75+200+2386.21+170+50+30</f>
        <v>3089.2660000000001</v>
      </c>
      <c r="C17" s="14"/>
      <c r="D17" s="28" t="s">
        <v>60</v>
      </c>
    </row>
    <row r="18" ht="15">
      <c r="A18" s="13" t="s">
        <v>22</v>
      </c>
      <c r="B18" s="14">
        <f>4.89599999999999+75+140+192+80</f>
        <v>491.89599999999996</v>
      </c>
      <c r="C18" s="14"/>
      <c r="D18" s="28" t="s">
        <v>61</v>
      </c>
    </row>
    <row r="19" ht="15">
      <c r="A19" s="13" t="s">
        <v>24</v>
      </c>
      <c r="B19" s="14">
        <f>26.3999999999999+77.0183899999999+4.89599999999999+75+200+81+1193.45967+356+50.89+250+132.72+13.75+691.169779999999+30+457.009999999999</f>
        <v>3639.3138399999975</v>
      </c>
      <c r="C19" s="14"/>
      <c r="D19" s="28" t="s">
        <v>62</v>
      </c>
    </row>
    <row r="20" ht="15">
      <c r="A20" s="18" t="s">
        <v>26</v>
      </c>
      <c r="B20" s="14">
        <f>128.199999999999+4.89599999999999+75+65+150+135+30</f>
        <v>588.09599999999898</v>
      </c>
      <c r="C20" s="14"/>
      <c r="D20" s="28" t="s">
        <v>63</v>
      </c>
    </row>
    <row r="21" ht="15">
      <c r="A21" s="13" t="s">
        <v>28</v>
      </c>
      <c r="B21" s="14">
        <f>25.1999999999999+410.8122+4.89599999999999+75+87+50+125+20</f>
        <v>797.90819999999985</v>
      </c>
      <c r="C21" s="14"/>
      <c r="D21" s="28" t="s">
        <v>64</v>
      </c>
    </row>
    <row r="22" ht="15">
      <c r="A22" s="13" t="s">
        <v>30</v>
      </c>
      <c r="B22" s="14">
        <f>36.2+4.89599999999999+75+423.399999999999+125+100+20-15</f>
        <v>769.49599999999896</v>
      </c>
      <c r="C22" s="14"/>
      <c r="D22" s="28" t="s">
        <v>65</v>
      </c>
    </row>
    <row r="23" ht="15">
      <c r="A23" s="13" t="s">
        <v>32</v>
      </c>
      <c r="B23" s="14">
        <f>6.59999999999999+4.89599999999999+75+150+150+30</f>
        <v>416.49599999999998</v>
      </c>
      <c r="C23" s="14"/>
      <c r="D23" s="28" t="s">
        <v>66</v>
      </c>
    </row>
    <row r="24" ht="16.300000000000001" customHeight="1">
      <c r="A24" s="13" t="s">
        <v>34</v>
      </c>
      <c r="B24" s="14">
        <f>17.92+4.89599999999999+75+250+45+53+30</f>
        <v>475.81599999999997</v>
      </c>
      <c r="C24" s="14"/>
      <c r="D24" s="28" t="s">
        <v>67</v>
      </c>
      <c r="F24" s="23"/>
    </row>
    <row r="25" ht="16.300000000000001" customHeight="1">
      <c r="A25" s="13" t="s">
        <v>36</v>
      </c>
      <c r="B25" s="14">
        <f>53.3999999999999+750+4.89599999999999+75+50+360+1954.37424+1592.34999999999+3000+241.539999999999+700+423.399999999999+300+40.7524799999999+250+1300+30+1131.46251</f>
        <v>12257.175229999986</v>
      </c>
      <c r="C25" s="14"/>
      <c r="D25" s="28" t="s">
        <v>68</v>
      </c>
    </row>
    <row r="26" ht="15">
      <c r="A26" s="13" t="s">
        <v>38</v>
      </c>
      <c r="B26" s="14">
        <f>29.8+4.89599999999999+75+125+200+204+264+1155.57575999999+80+878.89417+450+30</f>
        <v>3497.1659299999901</v>
      </c>
      <c r="C26" s="14"/>
      <c r="D26" s="28" t="s">
        <v>69</v>
      </c>
    </row>
    <row r="27" ht="15">
      <c r="A27" s="13" t="s">
        <v>40</v>
      </c>
      <c r="B27" s="14">
        <f>39.0664+4.89599999999999+75+250+315+199+80+423.399999999999+587.10118+40</f>
        <v>2013.4635799999992</v>
      </c>
      <c r="C27" s="14"/>
      <c r="D27" s="28" t="s">
        <v>70</v>
      </c>
    </row>
    <row r="28" ht="15.800000000000001" customHeight="1">
      <c r="A28" s="13" t="s">
        <v>42</v>
      </c>
      <c r="B28" s="14">
        <f>30.8999999999999+4.89599999999999+75+395+62+3500+10500+100+416.699999999999+51.651+1.649+30+250-8000+4000+30</f>
        <v>11447.795999999998</v>
      </c>
      <c r="C28" s="14">
        <v>10500</v>
      </c>
      <c r="D28" s="28" t="s">
        <v>71</v>
      </c>
    </row>
    <row r="29" ht="15">
      <c r="A29" s="13" t="s">
        <v>44</v>
      </c>
      <c r="B29" s="14">
        <f>17+4.89599999999999+75+30</f>
        <v>126.89599999999999</v>
      </c>
      <c r="C29" s="14"/>
      <c r="D29" s="28" t="s">
        <v>72</v>
      </c>
    </row>
    <row r="30" ht="17.149999999999999" customHeight="1">
      <c r="A30" s="13" t="s">
        <v>46</v>
      </c>
      <c r="B30" s="14">
        <f>59.2+4.896+75+250+180+50+147+56+1954.29+85.114+423.4+378.72349+40+878.05385</f>
        <v>4581.6773400000002</v>
      </c>
      <c r="C30" s="14"/>
      <c r="D30" s="28" t="s">
        <v>73</v>
      </c>
    </row>
    <row r="31" ht="15">
      <c r="A31" s="19" t="s">
        <v>48</v>
      </c>
      <c r="B31" s="14">
        <f>18.843+4.89599999999999+75+250+400+400+600+30+1000</f>
        <v>2778.739</v>
      </c>
      <c r="C31" s="14"/>
      <c r="D31" s="28" t="s">
        <v>74</v>
      </c>
    </row>
    <row r="32" ht="12.9">
      <c r="D32" s="16"/>
    </row>
    <row r="33" ht="15">
      <c r="A33" s="20"/>
      <c r="B33" s="20"/>
      <c r="C33" s="23"/>
      <c r="D33" s="16"/>
    </row>
    <row r="34" ht="12.9">
      <c r="C34" s="16"/>
      <c r="D34" s="16"/>
    </row>
    <row r="35" ht="12.9">
      <c r="C35" s="23"/>
    </row>
  </sheetData>
  <mergeCells count="5">
    <mergeCell ref="A3:C3"/>
    <mergeCell ref="A4:C4"/>
    <mergeCell ref="A7:C7"/>
    <mergeCell ref="A9:A10"/>
    <mergeCell ref="B9:C9"/>
  </mergeCells>
  <printOptions headings="0" gridLines="0"/>
  <pageMargins left="0.94488199999999978" right="0.39370099999999991" top="0.9842519999999999" bottom="0.9842519999999999" header="0.51181100000000002" footer="0.51181100000000002"/>
  <pageSetup paperSize="9" scale="9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C10" activeCellId="0" sqref="C10"/>
    </sheetView>
  </sheetViews>
  <sheetFormatPr defaultRowHeight="12.75" customHeight="1"/>
  <cols>
    <col customWidth="1" min="1" max="1" width="47.625"/>
    <col customWidth="1" min="2" max="2" width="28.875"/>
    <col customWidth="1" hidden="1" min="3" max="3" width="14"/>
    <col customWidth="1" hidden="1" min="4" max="4" width="8.875"/>
    <col customWidth="1" hidden="1" min="5" max="5" width="12.875"/>
  </cols>
  <sheetData>
    <row r="1" ht="12.9">
      <c r="B1" s="21" t="s">
        <v>75</v>
      </c>
    </row>
    <row r="2" ht="12.9">
      <c r="B2" s="1" t="s">
        <v>51</v>
      </c>
    </row>
    <row r="3" ht="13.6">
      <c r="A3" s="2" t="s">
        <v>1</v>
      </c>
      <c r="B3" s="2"/>
    </row>
    <row r="4" ht="13.6">
      <c r="A4" s="3" t="s">
        <v>2</v>
      </c>
      <c r="B4" s="3"/>
    </row>
    <row r="5" ht="13.6">
      <c r="A5" s="2" t="s">
        <v>3</v>
      </c>
      <c r="B5" s="2"/>
    </row>
    <row r="6" ht="13.6">
      <c r="B6" s="2"/>
    </row>
    <row r="7" ht="76.75" customHeight="1">
      <c r="A7" s="29" t="s">
        <v>76</v>
      </c>
      <c r="B7" s="29"/>
    </row>
    <row r="8" ht="15">
      <c r="A8" s="30"/>
      <c r="B8" s="6" t="s">
        <v>6</v>
      </c>
    </row>
    <row r="9" ht="12.9">
      <c r="A9" s="7" t="s">
        <v>7</v>
      </c>
      <c r="B9" s="7" t="s">
        <v>8</v>
      </c>
      <c r="C9">
        <f>30070.88764+2902.34441999999+2588.46142+1284.68627999999+513.32709+300+300</f>
        <v>37959.706849999973</v>
      </c>
      <c r="D9" s="23"/>
      <c r="E9" s="23">
        <f>+B11-C9</f>
        <v>-2.9103830456733704e-11</v>
      </c>
    </row>
    <row r="10" ht="12.9">
      <c r="A10" s="9"/>
      <c r="B10" s="9"/>
    </row>
    <row r="11" ht="15">
      <c r="A11" s="10" t="s">
        <v>9</v>
      </c>
      <c r="B11" s="31">
        <f>SUM(B12:B31)</f>
        <v>37959.706849999944</v>
      </c>
      <c r="C11" s="32">
        <f>+'[1]1'!B11+'[1]2'!C11+'[1]3'!B11</f>
        <v>103778.98763999999</v>
      </c>
      <c r="D11" s="12">
        <f>+'[1]1'!B11+'[1]2'!C11+'[1]3'!B11</f>
        <v>103778.98763999999</v>
      </c>
    </row>
    <row r="12" ht="15">
      <c r="A12" s="13" t="s">
        <v>10</v>
      </c>
      <c r="B12" s="14">
        <v>871.5</v>
      </c>
      <c r="C12" s="28" t="s">
        <v>77</v>
      </c>
    </row>
    <row r="13" ht="15">
      <c r="A13" s="13" t="s">
        <v>12</v>
      </c>
      <c r="B13" s="14">
        <v>392.69999999999999</v>
      </c>
      <c r="C13" s="27" t="s">
        <v>78</v>
      </c>
    </row>
    <row r="14" ht="15">
      <c r="A14" s="13" t="s">
        <v>14</v>
      </c>
      <c r="B14" s="14">
        <f>847.2+2902.34441999999</f>
        <v>3749.5444199999902</v>
      </c>
      <c r="C14" s="27" t="s">
        <v>79</v>
      </c>
    </row>
    <row r="15" ht="15">
      <c r="A15" s="13" t="s">
        <v>16</v>
      </c>
      <c r="B15" s="14">
        <f>507.899999999999+800+800+300</f>
        <v>2407.8999999999987</v>
      </c>
      <c r="C15" s="28" t="s">
        <v>80</v>
      </c>
    </row>
    <row r="16" ht="15">
      <c r="A16" s="13" t="s">
        <v>18</v>
      </c>
      <c r="B16" s="14">
        <v>462.30000000000001</v>
      </c>
      <c r="C16" s="28" t="s">
        <v>81</v>
      </c>
    </row>
    <row r="17" ht="15">
      <c r="A17" s="13" t="s">
        <v>20</v>
      </c>
      <c r="B17" s="14">
        <v>596.10000000000002</v>
      </c>
      <c r="C17" s="28" t="s">
        <v>82</v>
      </c>
    </row>
    <row r="18" ht="15">
      <c r="A18" s="13" t="s">
        <v>22</v>
      </c>
      <c r="B18" s="14">
        <v>1216.2</v>
      </c>
      <c r="C18" s="28" t="s">
        <v>83</v>
      </c>
    </row>
    <row r="19" ht="15">
      <c r="A19" s="13" t="s">
        <v>24</v>
      </c>
      <c r="B19" s="14">
        <v>804.60000000000002</v>
      </c>
      <c r="C19" s="28" t="s">
        <v>84</v>
      </c>
    </row>
    <row r="20" ht="15">
      <c r="A20" s="18" t="s">
        <v>26</v>
      </c>
      <c r="B20" s="14">
        <v>780.60000000000002</v>
      </c>
      <c r="C20" s="28" t="s">
        <v>85</v>
      </c>
    </row>
    <row r="21" ht="15">
      <c r="A21" s="13" t="s">
        <v>28</v>
      </c>
      <c r="B21" s="14">
        <f>545.399999999999+1284.68627999999</f>
        <v>1830.0862799999888</v>
      </c>
      <c r="C21" s="28" t="s">
        <v>86</v>
      </c>
    </row>
    <row r="22" ht="15">
      <c r="A22" s="13" t="s">
        <v>30</v>
      </c>
      <c r="B22" s="14">
        <v>646.79999999999995</v>
      </c>
      <c r="C22" s="28" t="s">
        <v>87</v>
      </c>
    </row>
    <row r="23" ht="15">
      <c r="A23" s="13" t="s">
        <v>32</v>
      </c>
      <c r="B23" s="14">
        <v>398.10000000000002</v>
      </c>
      <c r="C23" s="28" t="s">
        <v>88</v>
      </c>
    </row>
    <row r="24" ht="15">
      <c r="A24" s="13" t="s">
        <v>34</v>
      </c>
      <c r="B24" s="14">
        <f>192.599999999999+2419.21</f>
        <v>2611.809999999999</v>
      </c>
      <c r="C24" s="28" t="s">
        <v>89</v>
      </c>
    </row>
    <row r="25" ht="15">
      <c r="A25" s="13" t="s">
        <v>36</v>
      </c>
      <c r="B25" s="14">
        <f>1191.9+3276.26771999999+349.25033+4000+3101.78850999999</f>
        <v>11919.206559999979</v>
      </c>
      <c r="C25" s="28" t="s">
        <v>90</v>
      </c>
    </row>
    <row r="26" ht="15">
      <c r="A26" s="13" t="s">
        <v>38</v>
      </c>
      <c r="B26" s="14">
        <v>553.20000000000005</v>
      </c>
      <c r="C26" s="28" t="s">
        <v>91</v>
      </c>
    </row>
    <row r="27" ht="15">
      <c r="A27" s="13" t="s">
        <v>40</v>
      </c>
      <c r="B27" s="14">
        <f>831.299999999999+300</f>
        <v>1131.299999999999</v>
      </c>
      <c r="C27" s="28" t="s">
        <v>92</v>
      </c>
    </row>
    <row r="28" ht="15">
      <c r="A28" s="13" t="s">
        <v>42</v>
      </c>
      <c r="B28" s="14">
        <v>558.60000000000002</v>
      </c>
      <c r="C28" s="28" t="s">
        <v>93</v>
      </c>
    </row>
    <row r="29" ht="15">
      <c r="A29" s="13" t="s">
        <v>44</v>
      </c>
      <c r="B29" s="14">
        <v>654.89999999999998</v>
      </c>
      <c r="C29" s="28" t="s">
        <v>94</v>
      </c>
    </row>
    <row r="30" ht="15">
      <c r="A30" s="13" t="s">
        <v>46</v>
      </c>
      <c r="B30" s="14">
        <f>943.5+1172.08117999999+2349.57841</f>
        <v>4465.1595899999902</v>
      </c>
      <c r="C30" s="28" t="s">
        <v>95</v>
      </c>
    </row>
    <row r="31" ht="15">
      <c r="A31" s="19" t="s">
        <v>48</v>
      </c>
      <c r="B31" s="14">
        <f>909+1000.1</f>
        <v>1909.0999999999999</v>
      </c>
      <c r="C31" s="28" t="s">
        <v>96</v>
      </c>
    </row>
  </sheetData>
  <mergeCells count="6">
    <mergeCell ref="A3:B3"/>
    <mergeCell ref="A4:B4"/>
    <mergeCell ref="A5:B5"/>
    <mergeCell ref="A7:B7"/>
    <mergeCell ref="A9:A10"/>
    <mergeCell ref="B9:B10"/>
  </mergeCells>
  <printOptions headings="0" gridLines="0"/>
  <pageMargins left="0.94488199999999978" right="0.39370099999999991" top="0.9842519999999999" bottom="0.9842519999999999" header="0.51181100000000002" footer="0.51181100000000002"/>
  <pageSetup paperSize="9" scale="9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Р7-Офис/2025.2.2.831</Application>
  <Company>KO Iskitim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volkova_en@mfnso.local</cp:lastModifiedBy>
  <cp:revision>4</cp:revision>
  <dcterms:created xsi:type="dcterms:W3CDTF">2009-10-27T09:14:00Z</dcterms:created>
  <dcterms:modified xsi:type="dcterms:W3CDTF">2025-11-17T04:06:32Z</dcterms:modified>
  <cp:version>1048576</cp:version>
</cp:coreProperties>
</file>